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dl-my.sharepoint.com/personal/mnm_dadl_dk/Documents/MADS MAPPE/mnm/PLA/Løn bedriftslæger/"/>
    </mc:Choice>
  </mc:AlternateContent>
  <xr:revisionPtr revIDLastSave="2" documentId="8_{EDAFEFBB-ACB4-4D39-967A-A6B04B0926E1}" xr6:coauthVersionLast="47" xr6:coauthVersionMax="47" xr10:uidLastSave="{2287AAE0-9B8F-4B4E-9DCF-DC06B28A8188}"/>
  <bookViews>
    <workbookView xWindow="0" yWindow="0" windowWidth="25800" windowHeight="21000" xr2:uid="{00000000-000D-0000-FFFF-FFFF00000000}"/>
  </bookViews>
  <sheets>
    <sheet name="Ark1" sheetId="1" r:id="rId1"/>
    <sheet name="ændringer ok24" sheetId="2" r:id="rId2"/>
  </sheets>
  <definedNames>
    <definedName name="_xlnm.Print_Area" localSheetId="0">'Ark1'!$B$1:$L$27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C32" i="1"/>
  <c r="L26" i="1" l="1"/>
  <c r="L27" i="1" s="1"/>
  <c r="L6" i="1" s="1"/>
  <c r="C31" i="1"/>
  <c r="P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6" i="1" l="1"/>
  <c r="C27" i="1" s="1"/>
  <c r="C25" i="1" s="1"/>
  <c r="J26" i="1"/>
  <c r="J27" i="1" s="1"/>
  <c r="D26" i="1"/>
  <c r="D27" i="1" s="1"/>
  <c r="H26" i="1"/>
  <c r="H27" i="1" s="1"/>
  <c r="F26" i="1"/>
  <c r="F27" i="1" s="1"/>
  <c r="K26" i="1"/>
  <c r="K27" i="1" s="1"/>
  <c r="E26" i="1"/>
  <c r="E27" i="1" s="1"/>
  <c r="G26" i="1"/>
  <c r="G27" i="1" s="1"/>
  <c r="I26" i="1"/>
  <c r="I27" i="1" s="1"/>
  <c r="C6" i="1" l="1"/>
  <c r="C17" i="1"/>
  <c r="L21" i="1"/>
  <c r="L8" i="1"/>
  <c r="L15" i="1"/>
  <c r="L13" i="1"/>
  <c r="L22" i="1"/>
  <c r="L9" i="1"/>
  <c r="L16" i="1"/>
  <c r="L24" i="1"/>
  <c r="L10" i="1"/>
  <c r="L19" i="1"/>
  <c r="L14" i="1"/>
  <c r="L23" i="1"/>
  <c r="L7" i="1"/>
  <c r="L18" i="1"/>
  <c r="L17" i="1"/>
  <c r="L12" i="1"/>
  <c r="L20" i="1"/>
  <c r="L11" i="1"/>
  <c r="L25" i="1"/>
  <c r="K21" i="1"/>
  <c r="K8" i="1"/>
  <c r="K10" i="1"/>
  <c r="K22" i="1"/>
  <c r="K17" i="1"/>
  <c r="K15" i="1"/>
  <c r="K20" i="1"/>
  <c r="K14" i="1"/>
  <c r="K7" i="1"/>
  <c r="K6" i="1"/>
  <c r="K18" i="1"/>
  <c r="K23" i="1"/>
  <c r="K13" i="1"/>
  <c r="K16" i="1"/>
  <c r="K19" i="1"/>
  <c r="K24" i="1"/>
  <c r="K12" i="1"/>
  <c r="K9" i="1"/>
  <c r="K25" i="1"/>
  <c r="K11" i="1"/>
  <c r="E16" i="1"/>
  <c r="E9" i="1"/>
  <c r="E7" i="1"/>
  <c r="E15" i="1"/>
  <c r="E6" i="1"/>
  <c r="E11" i="1"/>
  <c r="E18" i="1"/>
  <c r="E23" i="1"/>
  <c r="E19" i="1"/>
  <c r="E13" i="1"/>
  <c r="E21" i="1"/>
  <c r="E14" i="1"/>
  <c r="E25" i="1"/>
  <c r="E17" i="1"/>
  <c r="E24" i="1"/>
  <c r="E8" i="1"/>
  <c r="E20" i="1"/>
  <c r="E22" i="1"/>
  <c r="E10" i="1"/>
  <c r="E12" i="1"/>
  <c r="F15" i="1"/>
  <c r="F8" i="1"/>
  <c r="F18" i="1"/>
  <c r="F22" i="1"/>
  <c r="F14" i="1"/>
  <c r="F10" i="1"/>
  <c r="F20" i="1"/>
  <c r="F16" i="1"/>
  <c r="F13" i="1"/>
  <c r="F17" i="1"/>
  <c r="F7" i="1"/>
  <c r="F25" i="1"/>
  <c r="F12" i="1"/>
  <c r="F21" i="1"/>
  <c r="F23" i="1"/>
  <c r="F9" i="1"/>
  <c r="F11" i="1"/>
  <c r="F6" i="1"/>
  <c r="F24" i="1"/>
  <c r="F19" i="1"/>
  <c r="H12" i="1"/>
  <c r="H24" i="1"/>
  <c r="H7" i="1"/>
  <c r="H6" i="1"/>
  <c r="H11" i="1"/>
  <c r="H10" i="1"/>
  <c r="H18" i="1"/>
  <c r="H25" i="1"/>
  <c r="H8" i="1"/>
  <c r="H9" i="1"/>
  <c r="H13" i="1"/>
  <c r="H23" i="1"/>
  <c r="H20" i="1"/>
  <c r="H21" i="1"/>
  <c r="H16" i="1"/>
  <c r="H15" i="1"/>
  <c r="H14" i="1"/>
  <c r="H19" i="1"/>
  <c r="H22" i="1"/>
  <c r="H17" i="1"/>
  <c r="C10" i="1"/>
  <c r="C8" i="1"/>
  <c r="C7" i="1"/>
  <c r="C11" i="1"/>
  <c r="C23" i="1"/>
  <c r="C13" i="1"/>
  <c r="C12" i="1"/>
  <c r="C9" i="1"/>
  <c r="C14" i="1"/>
  <c r="C18" i="1"/>
  <c r="C24" i="1"/>
  <c r="C21" i="1"/>
  <c r="C15" i="1"/>
  <c r="C19" i="1"/>
  <c r="C20" i="1"/>
  <c r="C16" i="1"/>
  <c r="C22" i="1"/>
  <c r="I20" i="1"/>
  <c r="I12" i="1"/>
  <c r="I6" i="1"/>
  <c r="I8" i="1"/>
  <c r="I23" i="1"/>
  <c r="I19" i="1"/>
  <c r="I25" i="1"/>
  <c r="I9" i="1"/>
  <c r="I18" i="1"/>
  <c r="I10" i="1"/>
  <c r="I24" i="1"/>
  <c r="I7" i="1"/>
  <c r="I15" i="1"/>
  <c r="I11" i="1"/>
  <c r="I14" i="1"/>
  <c r="I17" i="1"/>
  <c r="I13" i="1"/>
  <c r="I22" i="1"/>
  <c r="I16" i="1"/>
  <c r="I21" i="1"/>
  <c r="D24" i="1"/>
  <c r="D21" i="1"/>
  <c r="D10" i="1"/>
  <c r="D6" i="1"/>
  <c r="D14" i="1"/>
  <c r="D19" i="1"/>
  <c r="D12" i="1"/>
  <c r="D18" i="1"/>
  <c r="D25" i="1"/>
  <c r="D11" i="1"/>
  <c r="D13" i="1"/>
  <c r="D17" i="1"/>
  <c r="D16" i="1"/>
  <c r="D15" i="1"/>
  <c r="D22" i="1"/>
  <c r="D9" i="1"/>
  <c r="D8" i="1"/>
  <c r="D23" i="1"/>
  <c r="D7" i="1"/>
  <c r="D20" i="1"/>
  <c r="G13" i="1"/>
  <c r="G9" i="1"/>
  <c r="G24" i="1"/>
  <c r="G6" i="1"/>
  <c r="G8" i="1"/>
  <c r="G22" i="1"/>
  <c r="G14" i="1"/>
  <c r="G21" i="1"/>
  <c r="G25" i="1"/>
  <c r="G17" i="1"/>
  <c r="G20" i="1"/>
  <c r="G19" i="1"/>
  <c r="G10" i="1"/>
  <c r="G12" i="1"/>
  <c r="G16" i="1"/>
  <c r="G15" i="1"/>
  <c r="G11" i="1"/>
  <c r="G18" i="1"/>
  <c r="G7" i="1"/>
  <c r="G23" i="1"/>
  <c r="J23" i="1"/>
  <c r="J13" i="1"/>
  <c r="J12" i="1"/>
  <c r="J8" i="1"/>
  <c r="J20" i="1"/>
  <c r="J6" i="1"/>
  <c r="J7" i="1"/>
  <c r="J25" i="1"/>
  <c r="J9" i="1"/>
  <c r="J17" i="1"/>
  <c r="J24" i="1"/>
  <c r="J15" i="1"/>
  <c r="J16" i="1"/>
  <c r="J18" i="1"/>
  <c r="J14" i="1"/>
  <c r="J11" i="1"/>
  <c r="J10" i="1"/>
  <c r="J22" i="1"/>
  <c r="J19" i="1"/>
  <c r="J21" i="1"/>
</calcChain>
</file>

<file path=xl/sharedStrings.xml><?xml version="1.0" encoding="utf-8"?>
<sst xmlns="http://schemas.openxmlformats.org/spreadsheetml/2006/main" count="32" uniqueCount="32">
  <si>
    <t>PRAKTISERENDE LÆGERS ORGANISATION</t>
  </si>
  <si>
    <t>timer</t>
  </si>
  <si>
    <t>1. trin</t>
  </si>
  <si>
    <t>2. trin</t>
  </si>
  <si>
    <t>3. trin</t>
  </si>
  <si>
    <t>4. trin</t>
  </si>
  <si>
    <t>5. trin</t>
  </si>
  <si>
    <t>6. trin</t>
  </si>
  <si>
    <t>7. trin</t>
  </si>
  <si>
    <t>8. trin</t>
  </si>
  <si>
    <t>9. trin</t>
  </si>
  <si>
    <t>10. trin</t>
  </si>
  <si>
    <t>2    60%</t>
  </si>
  <si>
    <t>6    33%</t>
  </si>
  <si>
    <t>11   25%</t>
  </si>
  <si>
    <t>14   20%</t>
  </si>
  <si>
    <t>18   15%</t>
  </si>
  <si>
    <t>Ret her:</t>
  </si>
  <si>
    <t>Netto</t>
  </si>
  <si>
    <t>Brutto</t>
  </si>
  <si>
    <t>Terman Tranberg, Danske Regioner (tt@regioner.dk + 35 29 82 24) har 22. marts 2007 hjulpet med at oversætte henvisningen til den gl.. OK til gældende OK.</t>
  </si>
  <si>
    <t>Kopi af Overenskomst for overlæger mellem ARF og Foreningen af Speciallæger findes på: 'G:\LAK\Ad hoc\Bedriftlægers løn'.</t>
  </si>
  <si>
    <t xml:space="preserve">Arbejdsgivers pensionsbidrag, jf. aftale om løn- og ansættelsesvilkår for bedriftslæger mellem DA og PLO § 8 stk. 8. </t>
  </si>
  <si>
    <t>Antal ugl.</t>
  </si>
  <si>
    <t>Pensionsgivende grundløn, jf. overenskomst for overlæger § 4 stk. 1 - angivet i 31. marts 2018-niveau.</t>
  </si>
  <si>
    <t>Nettoløn (ekskl. pension) - angivet i 31. marts 2018-niveau.</t>
  </si>
  <si>
    <t>https://laeger.dk/media/4grh1bq1/endelig-dateret-og-underskrevet-overenskomst-for-overlaegerok24.pdf</t>
  </si>
  <si>
    <t>Nye grundlønstrin pr. 1. april 2025</t>
  </si>
  <si>
    <t>Procentregulering pr 1. november 2025 - findes på KTOs eller på Danske Regioners hjemmeside.</t>
  </si>
  <si>
    <t>Pensionsgivende funktionstillæg til overlæger, der ikke varetager formaliseret vagt, jf. overenskomst for overlæger § 5 stk. 2  - angivet i 31. marts 2018-niveau. OBS FJERNET Pr. 1. april 2025 - grundløn samtidig hævet ovenfor</t>
  </si>
  <si>
    <t>Bruttoløn for bedriftslæger pr. 1. april 2025</t>
  </si>
  <si>
    <t>Nettoløn (ekskl. pension) - pct.reguleret til 1. april 2025-niveau.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</si>
</sst>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0" x14ac:knownFonts="1">
    <font>
      <sz val="10"/>
      <name val="Arial"/>
    </font>
    <font>
      <sz val="16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color indexed="10"/>
      <name val="Verdana"/>
      <family val="2"/>
    </font>
    <font>
      <sz val="7.5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Protection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quotePrefix="1" applyFont="1"/>
    <xf numFmtId="0" fontId="1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3" fillId="0" borderId="0" xfId="0" applyFont="1"/>
    <xf numFmtId="2" fontId="3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4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quotePrefix="1" applyFont="1" applyBorder="1" applyAlignment="1">
      <alignment horizontal="left"/>
    </xf>
    <xf numFmtId="0" fontId="2" fillId="0" borderId="15" xfId="0" quotePrefix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2">
    <cellStyle name="Komma 2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496050</xdr:colOff>
      <xdr:row>15</xdr:row>
      <xdr:rowOff>226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5D7AD18-2429-6980-5150-9F8FD17C1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5372850" cy="1619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76200</xdr:rowOff>
    </xdr:from>
    <xdr:to>
      <xdr:col>9</xdr:col>
      <xdr:colOff>534142</xdr:colOff>
      <xdr:row>36</xdr:row>
      <xdr:rowOff>124261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9E9A425-7236-B8DF-C305-9C9E55898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2828925"/>
          <a:ext cx="5315692" cy="3124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D19" sqref="D19"/>
    </sheetView>
  </sheetViews>
  <sheetFormatPr defaultColWidth="9.7109375" defaultRowHeight="12.75" x14ac:dyDescent="0.2"/>
  <cols>
    <col min="1" max="1" width="4.140625" customWidth="1"/>
    <col min="2" max="12" width="11.28515625" customWidth="1"/>
    <col min="13" max="13" width="1.28515625" customWidth="1"/>
    <col min="14" max="14" width="6" style="3" customWidth="1"/>
    <col min="15" max="15" width="3" bestFit="1" customWidth="1"/>
    <col min="16" max="16" width="4.5703125" bestFit="1" customWidth="1"/>
  </cols>
  <sheetData>
    <row r="1" spans="1:17" ht="20.25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20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ht="11.2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">
      <c r="A4" s="30"/>
      <c r="B4" s="28" t="s">
        <v>23</v>
      </c>
      <c r="C4" s="21"/>
      <c r="D4" s="4"/>
      <c r="E4" s="4"/>
      <c r="F4" s="4"/>
      <c r="G4" s="4"/>
      <c r="H4" s="4"/>
      <c r="I4" s="4"/>
      <c r="J4" s="4"/>
      <c r="K4" s="4"/>
      <c r="L4" s="5"/>
      <c r="M4" s="6"/>
      <c r="N4" s="7"/>
      <c r="O4" s="6"/>
      <c r="P4" s="6"/>
      <c r="Q4" s="6"/>
    </row>
    <row r="5" spans="1:17" ht="13.5" thickBot="1" x14ac:dyDescent="0.25">
      <c r="B5" s="29" t="s">
        <v>1</v>
      </c>
      <c r="C5" s="22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6"/>
      <c r="N5" s="7"/>
      <c r="O5" s="6"/>
      <c r="P5" s="6"/>
      <c r="Q5" s="6"/>
    </row>
    <row r="6" spans="1:17" x14ac:dyDescent="0.2">
      <c r="B6" s="24">
        <v>1</v>
      </c>
      <c r="C6" s="10">
        <f>SUM(C$27/37*$O6*(1+$P6))</f>
        <v>38409.489206054051</v>
      </c>
      <c r="D6" s="10">
        <f t="shared" ref="C6:L15" si="0">SUM(D$27/37*$O6*(1+$P6))</f>
        <v>39006.245962810812</v>
      </c>
      <c r="E6" s="10">
        <f t="shared" si="0"/>
        <v>39603.002719567565</v>
      </c>
      <c r="F6" s="10">
        <f t="shared" si="0"/>
        <v>40498.137854702705</v>
      </c>
      <c r="G6" s="10">
        <f t="shared" si="0"/>
        <v>41094.894611459458</v>
      </c>
      <c r="H6" s="10">
        <f t="shared" si="0"/>
        <v>41691.651368216219</v>
      </c>
      <c r="I6" s="10">
        <f t="shared" si="0"/>
        <v>42288.408124972979</v>
      </c>
      <c r="J6" s="10">
        <f t="shared" si="0"/>
        <v>42934.894611459458</v>
      </c>
      <c r="K6" s="10">
        <f t="shared" si="0"/>
        <v>43581.381097945945</v>
      </c>
      <c r="L6" s="10">
        <f>SUM(L$27/37*$O6*(1+$P6))</f>
        <v>43979.218935783785</v>
      </c>
      <c r="M6" s="6"/>
      <c r="N6" s="7"/>
      <c r="O6" s="6">
        <v>1</v>
      </c>
      <c r="P6" s="7">
        <f>3/5</f>
        <v>0.6</v>
      </c>
      <c r="Q6" s="6"/>
    </row>
    <row r="7" spans="1:17" x14ac:dyDescent="0.2">
      <c r="B7" s="24" t="s">
        <v>12</v>
      </c>
      <c r="C7" s="10">
        <f t="shared" si="0"/>
        <v>76818.978412108103</v>
      </c>
      <c r="D7" s="10">
        <f t="shared" si="0"/>
        <v>78012.491925621624</v>
      </c>
      <c r="E7" s="10">
        <f t="shared" si="0"/>
        <v>79206.00543913513</v>
      </c>
      <c r="F7" s="10">
        <f t="shared" si="0"/>
        <v>80996.27570940541</v>
      </c>
      <c r="G7" s="10">
        <f t="shared" si="0"/>
        <v>82189.789222918916</v>
      </c>
      <c r="H7" s="10">
        <f t="shared" si="0"/>
        <v>83383.302736432437</v>
      </c>
      <c r="I7" s="10">
        <f t="shared" si="0"/>
        <v>84576.816249945958</v>
      </c>
      <c r="J7" s="10">
        <f t="shared" si="0"/>
        <v>85869.789222918916</v>
      </c>
      <c r="K7" s="10">
        <f t="shared" si="0"/>
        <v>87162.76219589189</v>
      </c>
      <c r="L7" s="10">
        <f t="shared" si="0"/>
        <v>87958.43787156757</v>
      </c>
      <c r="M7" s="6"/>
      <c r="N7" s="7"/>
      <c r="O7" s="6">
        <v>2</v>
      </c>
      <c r="P7" s="7">
        <f>3/5</f>
        <v>0.6</v>
      </c>
      <c r="Q7" s="6"/>
    </row>
    <row r="8" spans="1:17" ht="13.5" thickBot="1" x14ac:dyDescent="0.25">
      <c r="B8" s="25">
        <v>3</v>
      </c>
      <c r="C8" s="11">
        <f t="shared" si="0"/>
        <v>115228.46761816215</v>
      </c>
      <c r="D8" s="11">
        <f t="shared" si="0"/>
        <v>117018.73788843244</v>
      </c>
      <c r="E8" s="11">
        <f t="shared" si="0"/>
        <v>118809.00815870269</v>
      </c>
      <c r="F8" s="11">
        <f t="shared" si="0"/>
        <v>121494.41356410811</v>
      </c>
      <c r="G8" s="11">
        <f t="shared" si="0"/>
        <v>123284.68383437837</v>
      </c>
      <c r="H8" s="11">
        <f t="shared" si="0"/>
        <v>125074.95410464866</v>
      </c>
      <c r="I8" s="11">
        <f t="shared" si="0"/>
        <v>126865.22437491892</v>
      </c>
      <c r="J8" s="11">
        <f t="shared" si="0"/>
        <v>128804.68383437837</v>
      </c>
      <c r="K8" s="11">
        <f t="shared" si="0"/>
        <v>130744.14329383784</v>
      </c>
      <c r="L8" s="11">
        <f t="shared" si="0"/>
        <v>131937.65680735136</v>
      </c>
      <c r="M8" s="6"/>
      <c r="N8" s="7"/>
      <c r="O8" s="6">
        <v>3</v>
      </c>
      <c r="P8" s="7">
        <f>3/5</f>
        <v>0.6</v>
      </c>
      <c r="Q8" s="6"/>
    </row>
    <row r="9" spans="1:17" x14ac:dyDescent="0.2">
      <c r="B9" s="24">
        <v>4</v>
      </c>
      <c r="C9" s="23">
        <f t="shared" si="0"/>
        <v>128031.63068684682</v>
      </c>
      <c r="D9" s="10">
        <f t="shared" si="0"/>
        <v>130020.81987603602</v>
      </c>
      <c r="E9" s="10">
        <f t="shared" si="0"/>
        <v>132010.0090652252</v>
      </c>
      <c r="F9" s="10">
        <f t="shared" si="0"/>
        <v>134993.79284900898</v>
      </c>
      <c r="G9" s="10">
        <f t="shared" si="0"/>
        <v>136982.98203819818</v>
      </c>
      <c r="H9" s="10">
        <f t="shared" si="0"/>
        <v>138972.17122738739</v>
      </c>
      <c r="I9" s="10">
        <f t="shared" si="0"/>
        <v>140961.36041657656</v>
      </c>
      <c r="J9" s="10">
        <f t="shared" si="0"/>
        <v>143116.31537153153</v>
      </c>
      <c r="K9" s="10">
        <f t="shared" si="0"/>
        <v>145271.27032648647</v>
      </c>
      <c r="L9" s="10">
        <f t="shared" si="0"/>
        <v>146597.39645261259</v>
      </c>
      <c r="M9" s="6"/>
      <c r="N9" s="7"/>
      <c r="O9" s="6">
        <v>4</v>
      </c>
      <c r="P9" s="7">
        <f t="shared" ref="P9:P14" si="1">1/3</f>
        <v>0.33333333333333331</v>
      </c>
      <c r="Q9" s="6"/>
    </row>
    <row r="10" spans="1:17" x14ac:dyDescent="0.2">
      <c r="B10" s="24">
        <v>5</v>
      </c>
      <c r="C10" s="10">
        <f t="shared" si="0"/>
        <v>160039.53835855855</v>
      </c>
      <c r="D10" s="10">
        <f t="shared" si="0"/>
        <v>162526.024845045</v>
      </c>
      <c r="E10" s="10">
        <f t="shared" si="0"/>
        <v>165012.51133153151</v>
      </c>
      <c r="F10" s="10">
        <f t="shared" si="0"/>
        <v>168742.24106126124</v>
      </c>
      <c r="G10" s="10">
        <f t="shared" si="0"/>
        <v>171228.72754774772</v>
      </c>
      <c r="H10" s="10">
        <f t="shared" si="0"/>
        <v>173715.21403423423</v>
      </c>
      <c r="I10" s="10">
        <f t="shared" si="0"/>
        <v>176201.70052072071</v>
      </c>
      <c r="J10" s="10">
        <f t="shared" si="0"/>
        <v>178895.39421441441</v>
      </c>
      <c r="K10" s="10">
        <f t="shared" si="0"/>
        <v>181589.08790810808</v>
      </c>
      <c r="L10" s="10">
        <f t="shared" si="0"/>
        <v>183246.74556576577</v>
      </c>
      <c r="M10" s="6"/>
      <c r="N10" s="7"/>
      <c r="O10" s="6">
        <v>5</v>
      </c>
      <c r="P10" s="7">
        <f t="shared" si="1"/>
        <v>0.33333333333333331</v>
      </c>
      <c r="Q10" s="6"/>
    </row>
    <row r="11" spans="1:17" x14ac:dyDescent="0.2">
      <c r="B11" s="24" t="s">
        <v>13</v>
      </c>
      <c r="C11" s="10">
        <f t="shared" si="0"/>
        <v>192047.44603027022</v>
      </c>
      <c r="D11" s="10">
        <f t="shared" si="0"/>
        <v>195031.22981405404</v>
      </c>
      <c r="E11" s="10">
        <f t="shared" si="0"/>
        <v>198015.01359783779</v>
      </c>
      <c r="F11" s="10">
        <f t="shared" si="0"/>
        <v>202490.6892735135</v>
      </c>
      <c r="G11" s="10">
        <f t="shared" si="0"/>
        <v>205474.47305729729</v>
      </c>
      <c r="H11" s="10">
        <f t="shared" si="0"/>
        <v>208458.25684108108</v>
      </c>
      <c r="I11" s="10">
        <f t="shared" si="0"/>
        <v>211442.04062486487</v>
      </c>
      <c r="J11" s="10">
        <f t="shared" si="0"/>
        <v>214674.47305729729</v>
      </c>
      <c r="K11" s="10">
        <f t="shared" si="0"/>
        <v>217906.90548972972</v>
      </c>
      <c r="L11" s="10">
        <f t="shared" si="0"/>
        <v>219896.09467891889</v>
      </c>
      <c r="M11" s="6"/>
      <c r="N11" s="7"/>
      <c r="O11" s="6">
        <v>6</v>
      </c>
      <c r="P11" s="7">
        <f t="shared" si="1"/>
        <v>0.33333333333333331</v>
      </c>
      <c r="Q11" s="6"/>
    </row>
    <row r="12" spans="1:17" x14ac:dyDescent="0.2">
      <c r="B12" s="24">
        <v>7</v>
      </c>
      <c r="C12" s="10">
        <f t="shared" si="0"/>
        <v>224055.35370198195</v>
      </c>
      <c r="D12" s="10">
        <f t="shared" si="0"/>
        <v>227536.43478306304</v>
      </c>
      <c r="E12" s="10">
        <f t="shared" si="0"/>
        <v>231017.51586414411</v>
      </c>
      <c r="F12" s="10">
        <f t="shared" si="0"/>
        <v>236239.13748576576</v>
      </c>
      <c r="G12" s="10">
        <f t="shared" si="0"/>
        <v>239720.21856684683</v>
      </c>
      <c r="H12" s="10">
        <f t="shared" si="0"/>
        <v>243201.2996479279</v>
      </c>
      <c r="I12" s="10">
        <f t="shared" si="0"/>
        <v>246682.38072900899</v>
      </c>
      <c r="J12" s="10">
        <f t="shared" si="0"/>
        <v>250453.55190018017</v>
      </c>
      <c r="K12" s="10">
        <f t="shared" si="0"/>
        <v>254224.72307135133</v>
      </c>
      <c r="L12" s="10">
        <f t="shared" si="0"/>
        <v>256545.44379207207</v>
      </c>
      <c r="M12" s="6"/>
      <c r="N12" s="7"/>
      <c r="O12" s="6">
        <v>7</v>
      </c>
      <c r="P12" s="7">
        <f t="shared" si="1"/>
        <v>0.33333333333333331</v>
      </c>
      <c r="Q12" s="6"/>
    </row>
    <row r="13" spans="1:17" x14ac:dyDescent="0.2">
      <c r="B13" s="24">
        <v>8</v>
      </c>
      <c r="C13" s="10">
        <f t="shared" si="0"/>
        <v>256063.26137369365</v>
      </c>
      <c r="D13" s="10">
        <f t="shared" si="0"/>
        <v>260041.63975207205</v>
      </c>
      <c r="E13" s="10">
        <f t="shared" si="0"/>
        <v>264020.01813045039</v>
      </c>
      <c r="F13" s="10">
        <f t="shared" si="0"/>
        <v>269987.58569801797</v>
      </c>
      <c r="G13" s="10">
        <f t="shared" si="0"/>
        <v>273965.96407639637</v>
      </c>
      <c r="H13" s="10">
        <f t="shared" si="0"/>
        <v>277944.34245477477</v>
      </c>
      <c r="I13" s="10">
        <f t="shared" si="0"/>
        <v>281922.72083315311</v>
      </c>
      <c r="J13" s="10">
        <f t="shared" si="0"/>
        <v>286232.63074306305</v>
      </c>
      <c r="K13" s="10">
        <f t="shared" si="0"/>
        <v>290542.54065297294</v>
      </c>
      <c r="L13" s="10">
        <f t="shared" si="0"/>
        <v>293194.79290522519</v>
      </c>
      <c r="M13" s="6"/>
      <c r="N13" s="7"/>
      <c r="O13" s="6">
        <v>8</v>
      </c>
      <c r="P13" s="7">
        <f t="shared" si="1"/>
        <v>0.33333333333333331</v>
      </c>
      <c r="Q13" s="6"/>
    </row>
    <row r="14" spans="1:17" ht="13.5" thickBot="1" x14ac:dyDescent="0.25">
      <c r="B14" s="25">
        <v>9</v>
      </c>
      <c r="C14" s="11">
        <f t="shared" si="0"/>
        <v>288071.16904540535</v>
      </c>
      <c r="D14" s="11">
        <f t="shared" si="0"/>
        <v>292546.84472108103</v>
      </c>
      <c r="E14" s="11">
        <f t="shared" si="0"/>
        <v>297022.52039675671</v>
      </c>
      <c r="F14" s="11">
        <f t="shared" si="0"/>
        <v>303736.0339102702</v>
      </c>
      <c r="G14" s="11">
        <f t="shared" si="0"/>
        <v>308211.70958594594</v>
      </c>
      <c r="H14" s="11">
        <f t="shared" si="0"/>
        <v>312687.38526162162</v>
      </c>
      <c r="I14" s="11">
        <f t="shared" si="0"/>
        <v>317163.0609372973</v>
      </c>
      <c r="J14" s="11">
        <f t="shared" si="0"/>
        <v>322011.70958594594</v>
      </c>
      <c r="K14" s="11">
        <f t="shared" si="0"/>
        <v>326860.35823459458</v>
      </c>
      <c r="L14" s="11">
        <f t="shared" si="0"/>
        <v>329844.14201837836</v>
      </c>
      <c r="M14" s="6"/>
      <c r="N14" s="7"/>
      <c r="O14" s="6">
        <v>9</v>
      </c>
      <c r="P14" s="7">
        <f t="shared" si="1"/>
        <v>0.33333333333333331</v>
      </c>
      <c r="Q14" s="6"/>
    </row>
    <row r="15" spans="1:17" x14ac:dyDescent="0.2">
      <c r="B15" s="24">
        <v>10</v>
      </c>
      <c r="C15" s="10">
        <f t="shared" si="0"/>
        <v>300074.1344222973</v>
      </c>
      <c r="D15" s="10">
        <f t="shared" si="0"/>
        <v>304736.29658445943</v>
      </c>
      <c r="E15" s="10">
        <f t="shared" si="0"/>
        <v>309398.45874662162</v>
      </c>
      <c r="F15" s="10">
        <f t="shared" si="0"/>
        <v>316391.70198986487</v>
      </c>
      <c r="G15" s="10">
        <f t="shared" si="0"/>
        <v>321053.864152027</v>
      </c>
      <c r="H15" s="10">
        <f t="shared" si="0"/>
        <v>325716.02631418919</v>
      </c>
      <c r="I15" s="10">
        <f t="shared" si="0"/>
        <v>330378.18847635132</v>
      </c>
      <c r="J15" s="10">
        <f t="shared" si="0"/>
        <v>335428.864152027</v>
      </c>
      <c r="K15" s="10">
        <f t="shared" si="0"/>
        <v>340479.53982770268</v>
      </c>
      <c r="L15" s="10">
        <f t="shared" si="0"/>
        <v>343587.64793581085</v>
      </c>
      <c r="M15" s="6"/>
      <c r="N15" s="7"/>
      <c r="O15" s="6">
        <v>10</v>
      </c>
      <c r="P15" s="7">
        <f>1/4</f>
        <v>0.25</v>
      </c>
      <c r="Q15" s="6"/>
    </row>
    <row r="16" spans="1:17" x14ac:dyDescent="0.2">
      <c r="B16" s="24" t="s">
        <v>14</v>
      </c>
      <c r="C16" s="10">
        <f t="shared" ref="C16:L25" si="2">SUM(C$27/37*$O16*(1+$P16))</f>
        <v>330081.54786452703</v>
      </c>
      <c r="D16" s="10">
        <f t="shared" si="2"/>
        <v>335209.92624290532</v>
      </c>
      <c r="E16" s="10">
        <f t="shared" si="2"/>
        <v>340338.30462128378</v>
      </c>
      <c r="F16" s="10">
        <f t="shared" si="2"/>
        <v>348030.87218885135</v>
      </c>
      <c r="G16" s="10">
        <f t="shared" si="2"/>
        <v>353159.25056722976</v>
      </c>
      <c r="H16" s="10">
        <f t="shared" si="2"/>
        <v>358287.6289456081</v>
      </c>
      <c r="I16" s="10">
        <f t="shared" si="2"/>
        <v>363416.0073239865</v>
      </c>
      <c r="J16" s="10">
        <f t="shared" si="2"/>
        <v>368971.75056722976</v>
      </c>
      <c r="K16" s="10">
        <f t="shared" si="2"/>
        <v>374527.49381047295</v>
      </c>
      <c r="L16" s="10">
        <f t="shared" si="2"/>
        <v>377946.41272939189</v>
      </c>
      <c r="M16" s="6"/>
      <c r="N16" s="7"/>
      <c r="O16" s="6">
        <v>11</v>
      </c>
      <c r="P16" s="7">
        <f>1/4</f>
        <v>0.25</v>
      </c>
      <c r="Q16" s="6"/>
    </row>
    <row r="17" spans="2:17" ht="13.5" thickBot="1" x14ac:dyDescent="0.25">
      <c r="B17" s="25">
        <v>12</v>
      </c>
      <c r="C17" s="11">
        <f>SUM(C$27/37*$O17*(1+$P17))</f>
        <v>360088.96130675671</v>
      </c>
      <c r="D17" s="11">
        <f t="shared" si="2"/>
        <v>365683.55590135138</v>
      </c>
      <c r="E17" s="11">
        <f t="shared" si="2"/>
        <v>371278.15049594588</v>
      </c>
      <c r="F17" s="11">
        <f t="shared" si="2"/>
        <v>379670.04238783784</v>
      </c>
      <c r="G17" s="11">
        <f t="shared" si="2"/>
        <v>385264.63698243245</v>
      </c>
      <c r="H17" s="11">
        <f t="shared" si="2"/>
        <v>390859.23157702701</v>
      </c>
      <c r="I17" s="11">
        <f t="shared" si="2"/>
        <v>396453.82617162162</v>
      </c>
      <c r="J17" s="11">
        <f t="shared" si="2"/>
        <v>402514.63698243245</v>
      </c>
      <c r="K17" s="11">
        <f t="shared" si="2"/>
        <v>408575.44779324322</v>
      </c>
      <c r="L17" s="11">
        <f t="shared" si="2"/>
        <v>412305.17752297292</v>
      </c>
      <c r="M17" s="6"/>
      <c r="N17" s="7"/>
      <c r="O17" s="6">
        <v>12</v>
      </c>
      <c r="P17" s="7">
        <f>1/4</f>
        <v>0.25</v>
      </c>
      <c r="Q17" s="6"/>
    </row>
    <row r="18" spans="2:17" x14ac:dyDescent="0.2">
      <c r="B18" s="24">
        <v>13</v>
      </c>
      <c r="C18" s="10">
        <f t="shared" si="2"/>
        <v>374492.51975902694</v>
      </c>
      <c r="D18" s="10">
        <f t="shared" si="2"/>
        <v>380310.8981374054</v>
      </c>
      <c r="E18" s="10">
        <f t="shared" si="2"/>
        <v>386129.27651578374</v>
      </c>
      <c r="F18" s="10">
        <f t="shared" si="2"/>
        <v>394856.84408335132</v>
      </c>
      <c r="G18" s="10">
        <f t="shared" si="2"/>
        <v>400675.22246172966</v>
      </c>
      <c r="H18" s="10">
        <f t="shared" si="2"/>
        <v>406493.60084010812</v>
      </c>
      <c r="I18" s="10">
        <f t="shared" si="2"/>
        <v>412311.97921848646</v>
      </c>
      <c r="J18" s="10">
        <f t="shared" si="2"/>
        <v>418615.22246172966</v>
      </c>
      <c r="K18" s="10">
        <f t="shared" si="2"/>
        <v>424918.46570497291</v>
      </c>
      <c r="L18" s="10">
        <f t="shared" si="2"/>
        <v>428797.38462389185</v>
      </c>
      <c r="M18" s="6"/>
      <c r="N18" s="7"/>
      <c r="O18" s="6">
        <v>13</v>
      </c>
      <c r="P18" s="7">
        <f>1/5</f>
        <v>0.2</v>
      </c>
      <c r="Q18" s="6"/>
    </row>
    <row r="19" spans="2:17" x14ac:dyDescent="0.2">
      <c r="B19" s="24" t="s">
        <v>15</v>
      </c>
      <c r="C19" s="10">
        <f t="shared" si="2"/>
        <v>403299.63666356751</v>
      </c>
      <c r="D19" s="10">
        <f t="shared" si="2"/>
        <v>409565.58260951348</v>
      </c>
      <c r="E19" s="10">
        <f t="shared" si="2"/>
        <v>415831.5285554594</v>
      </c>
      <c r="F19" s="10">
        <f t="shared" si="2"/>
        <v>425230.44747437839</v>
      </c>
      <c r="G19" s="10">
        <f t="shared" si="2"/>
        <v>431496.39342032431</v>
      </c>
      <c r="H19" s="10">
        <f t="shared" si="2"/>
        <v>437762.33936627023</v>
      </c>
      <c r="I19" s="10">
        <f t="shared" si="2"/>
        <v>444028.28531221621</v>
      </c>
      <c r="J19" s="10">
        <f t="shared" si="2"/>
        <v>450816.39342032431</v>
      </c>
      <c r="K19" s="10">
        <f t="shared" si="2"/>
        <v>457604.50152843242</v>
      </c>
      <c r="L19" s="10">
        <f t="shared" si="2"/>
        <v>461781.79882572975</v>
      </c>
      <c r="M19" s="6"/>
      <c r="N19" s="7"/>
      <c r="O19" s="6">
        <v>14</v>
      </c>
      <c r="P19" s="7">
        <f>1/5</f>
        <v>0.2</v>
      </c>
      <c r="Q19" s="6"/>
    </row>
    <row r="20" spans="2:17" ht="13.5" thickBot="1" x14ac:dyDescent="0.25">
      <c r="B20" s="25">
        <v>15</v>
      </c>
      <c r="C20" s="11">
        <f t="shared" si="2"/>
        <v>432106.75356810802</v>
      </c>
      <c r="D20" s="11">
        <f t="shared" si="2"/>
        <v>438820.26708162157</v>
      </c>
      <c r="E20" s="11">
        <f t="shared" si="2"/>
        <v>445533.78059513512</v>
      </c>
      <c r="F20" s="11">
        <f t="shared" si="2"/>
        <v>455604.05086540541</v>
      </c>
      <c r="G20" s="11">
        <f t="shared" si="2"/>
        <v>462317.56437891891</v>
      </c>
      <c r="H20" s="11">
        <f t="shared" si="2"/>
        <v>469031.0778924324</v>
      </c>
      <c r="I20" s="11">
        <f t="shared" si="2"/>
        <v>475744.59140594595</v>
      </c>
      <c r="J20" s="11">
        <f t="shared" si="2"/>
        <v>483017.56437891891</v>
      </c>
      <c r="K20" s="11">
        <f t="shared" si="2"/>
        <v>490290.53735189186</v>
      </c>
      <c r="L20" s="11">
        <f t="shared" si="2"/>
        <v>494766.21302756754</v>
      </c>
      <c r="M20" s="6"/>
      <c r="N20" s="7"/>
      <c r="O20" s="6">
        <v>15</v>
      </c>
      <c r="P20" s="7">
        <f>1/5</f>
        <v>0.2</v>
      </c>
      <c r="Q20" s="6"/>
    </row>
    <row r="21" spans="2:17" x14ac:dyDescent="0.2">
      <c r="B21" s="24">
        <v>16</v>
      </c>
      <c r="C21" s="10">
        <f t="shared" si="2"/>
        <v>441709.12586962152</v>
      </c>
      <c r="D21" s="10">
        <f t="shared" si="2"/>
        <v>448571.82857232424</v>
      </c>
      <c r="E21" s="10">
        <f t="shared" si="2"/>
        <v>455434.53127502697</v>
      </c>
      <c r="F21" s="10">
        <f t="shared" si="2"/>
        <v>465728.58532908105</v>
      </c>
      <c r="G21" s="10">
        <f t="shared" si="2"/>
        <v>472591.28803178371</v>
      </c>
      <c r="H21" s="10">
        <f t="shared" si="2"/>
        <v>479453.99073448643</v>
      </c>
      <c r="I21" s="10">
        <f t="shared" si="2"/>
        <v>486316.69343718915</v>
      </c>
      <c r="J21" s="10">
        <f t="shared" si="2"/>
        <v>493751.28803178371</v>
      </c>
      <c r="K21" s="10">
        <f t="shared" si="2"/>
        <v>501185.88262637833</v>
      </c>
      <c r="L21" s="10">
        <f t="shared" si="2"/>
        <v>505761.01776151347</v>
      </c>
      <c r="M21" s="6"/>
      <c r="N21" s="7"/>
      <c r="O21" s="6">
        <v>16</v>
      </c>
      <c r="P21" s="7">
        <f>3/20</f>
        <v>0.15</v>
      </c>
      <c r="Q21" s="6"/>
    </row>
    <row r="22" spans="2:17" x14ac:dyDescent="0.2">
      <c r="B22" s="24">
        <v>17</v>
      </c>
      <c r="C22" s="10">
        <f t="shared" si="2"/>
        <v>469315.94623647287</v>
      </c>
      <c r="D22" s="10">
        <f t="shared" si="2"/>
        <v>476607.56785809452</v>
      </c>
      <c r="E22" s="10">
        <f t="shared" si="2"/>
        <v>483899.18947971612</v>
      </c>
      <c r="F22" s="10">
        <f t="shared" si="2"/>
        <v>494836.62191214855</v>
      </c>
      <c r="G22" s="10">
        <f t="shared" si="2"/>
        <v>502128.2435337702</v>
      </c>
      <c r="H22" s="10">
        <f t="shared" si="2"/>
        <v>509419.86515539186</v>
      </c>
      <c r="I22" s="10">
        <f t="shared" si="2"/>
        <v>516711.48677701346</v>
      </c>
      <c r="J22" s="10">
        <f t="shared" si="2"/>
        <v>524610.7435337702</v>
      </c>
      <c r="K22" s="10">
        <f t="shared" si="2"/>
        <v>532510.00029052701</v>
      </c>
      <c r="L22" s="10">
        <f t="shared" si="2"/>
        <v>537371.08137160807</v>
      </c>
      <c r="M22" s="6"/>
      <c r="N22" s="7"/>
      <c r="O22" s="6">
        <v>17</v>
      </c>
      <c r="P22" s="7">
        <f>3/20</f>
        <v>0.15</v>
      </c>
      <c r="Q22" s="6"/>
    </row>
    <row r="23" spans="2:17" x14ac:dyDescent="0.2">
      <c r="B23" s="24" t="s">
        <v>16</v>
      </c>
      <c r="C23" s="10">
        <f t="shared" si="2"/>
        <v>496922.76660332427</v>
      </c>
      <c r="D23" s="10">
        <f t="shared" si="2"/>
        <v>504643.30714386475</v>
      </c>
      <c r="E23" s="10">
        <f t="shared" si="2"/>
        <v>512363.84768440534</v>
      </c>
      <c r="F23" s="10">
        <f t="shared" si="2"/>
        <v>523944.65849521611</v>
      </c>
      <c r="G23" s="10">
        <f t="shared" si="2"/>
        <v>531665.19903575676</v>
      </c>
      <c r="H23" s="10">
        <f t="shared" si="2"/>
        <v>539385.73957629723</v>
      </c>
      <c r="I23" s="10">
        <f t="shared" si="2"/>
        <v>547106.28011683782</v>
      </c>
      <c r="J23" s="10">
        <f t="shared" si="2"/>
        <v>555470.19903575676</v>
      </c>
      <c r="K23" s="10">
        <f t="shared" si="2"/>
        <v>563834.11795467557</v>
      </c>
      <c r="L23" s="10">
        <f t="shared" si="2"/>
        <v>568981.14498170267</v>
      </c>
      <c r="M23" s="6"/>
      <c r="N23" s="7"/>
      <c r="O23" s="6">
        <v>18</v>
      </c>
      <c r="P23" s="7">
        <f>3/20</f>
        <v>0.15</v>
      </c>
      <c r="Q23" s="6"/>
    </row>
    <row r="24" spans="2:17" x14ac:dyDescent="0.2">
      <c r="B24" s="24">
        <v>19</v>
      </c>
      <c r="C24" s="10">
        <f t="shared" si="2"/>
        <v>524529.58697017562</v>
      </c>
      <c r="D24" s="10">
        <f t="shared" si="2"/>
        <v>532679.04642963503</v>
      </c>
      <c r="E24" s="10">
        <f t="shared" si="2"/>
        <v>540828.50588909455</v>
      </c>
      <c r="F24" s="10">
        <f t="shared" si="2"/>
        <v>553052.69507828378</v>
      </c>
      <c r="G24" s="10">
        <f t="shared" si="2"/>
        <v>561202.15453774319</v>
      </c>
      <c r="H24" s="10">
        <f t="shared" si="2"/>
        <v>569351.6139972026</v>
      </c>
      <c r="I24" s="10">
        <f t="shared" si="2"/>
        <v>577501.07345666212</v>
      </c>
      <c r="J24" s="10">
        <f t="shared" si="2"/>
        <v>586329.65453774319</v>
      </c>
      <c r="K24" s="10">
        <f t="shared" si="2"/>
        <v>595158.23561882426</v>
      </c>
      <c r="L24" s="10">
        <f t="shared" si="2"/>
        <v>600591.20859179727</v>
      </c>
      <c r="M24" s="6"/>
      <c r="N24" s="7"/>
      <c r="O24" s="6">
        <v>19</v>
      </c>
      <c r="P24" s="7">
        <f>3/20</f>
        <v>0.15</v>
      </c>
      <c r="Q24" s="6"/>
    </row>
    <row r="25" spans="2:17" ht="13.5" thickBot="1" x14ac:dyDescent="0.25">
      <c r="B25" s="25">
        <v>20</v>
      </c>
      <c r="C25" s="11">
        <f>SUM(C$27/37*$O25*(1+$P25))</f>
        <v>552136.4073370269</v>
      </c>
      <c r="D25" s="11">
        <f t="shared" si="2"/>
        <v>560714.78571540525</v>
      </c>
      <c r="E25" s="11">
        <f t="shared" si="2"/>
        <v>569293.16409378371</v>
      </c>
      <c r="F25" s="11">
        <f t="shared" si="2"/>
        <v>582160.73166135128</v>
      </c>
      <c r="G25" s="11">
        <f t="shared" si="2"/>
        <v>590739.11003972962</v>
      </c>
      <c r="H25" s="11">
        <f t="shared" si="2"/>
        <v>599317.48841810809</v>
      </c>
      <c r="I25" s="11">
        <f t="shared" si="2"/>
        <v>607895.86679648643</v>
      </c>
      <c r="J25" s="11">
        <f t="shared" si="2"/>
        <v>617189.11003972962</v>
      </c>
      <c r="K25" s="11">
        <f t="shared" si="2"/>
        <v>626482.35328297294</v>
      </c>
      <c r="L25" s="11">
        <f t="shared" si="2"/>
        <v>632201.27220189187</v>
      </c>
      <c r="M25" s="6"/>
      <c r="N25" s="7"/>
      <c r="O25" s="6">
        <v>20</v>
      </c>
      <c r="P25" s="7">
        <f>3/20</f>
        <v>0.15</v>
      </c>
      <c r="Q25" s="6"/>
    </row>
    <row r="26" spans="2:17" x14ac:dyDescent="0.2">
      <c r="B26" s="26" t="s">
        <v>18</v>
      </c>
      <c r="C26" s="12">
        <f>SUM(L26-112000)</f>
        <v>772364.72860000003</v>
      </c>
      <c r="D26" s="12">
        <f>SUM(L26-100000)</f>
        <v>784364.72860000003</v>
      </c>
      <c r="E26" s="12">
        <f>SUM(L26-88000)</f>
        <v>796364.72860000003</v>
      </c>
      <c r="F26" s="12">
        <f>SUM(L26-70000)</f>
        <v>814364.72860000003</v>
      </c>
      <c r="G26" s="12">
        <f>SUM(L26-58000)</f>
        <v>826364.72860000003</v>
      </c>
      <c r="H26" s="12">
        <f>SUM(L26-46000)</f>
        <v>838364.72860000003</v>
      </c>
      <c r="I26" s="12">
        <f>SUM(L26-34000)</f>
        <v>850364.72860000003</v>
      </c>
      <c r="J26" s="12">
        <f>SUM(L26-21000)</f>
        <v>863364.72860000003</v>
      </c>
      <c r="K26" s="12">
        <f>SUM(L26-8000)</f>
        <v>876364.72860000003</v>
      </c>
      <c r="L26" s="12">
        <f>C34</f>
        <v>884364.72860000003</v>
      </c>
      <c r="M26" s="7"/>
      <c r="N26" s="7"/>
      <c r="O26" s="7"/>
      <c r="P26" s="7"/>
      <c r="Q26" s="6"/>
    </row>
    <row r="27" spans="2:17" ht="13.5" thickBot="1" x14ac:dyDescent="0.25">
      <c r="B27" s="27" t="s">
        <v>19</v>
      </c>
      <c r="C27" s="13">
        <f>SUM(C26*(1+$C31))</f>
        <v>888219.43788999994</v>
      </c>
      <c r="D27" s="13">
        <f t="shared" ref="D27:K27" si="3">SUM(D26*(1+$C31))</f>
        <v>902019.43788999994</v>
      </c>
      <c r="E27" s="13">
        <f t="shared" si="3"/>
        <v>915819.43788999994</v>
      </c>
      <c r="F27" s="13">
        <f t="shared" si="3"/>
        <v>936519.43788999994</v>
      </c>
      <c r="G27" s="13">
        <f t="shared" si="3"/>
        <v>950319.43788999994</v>
      </c>
      <c r="H27" s="13">
        <f t="shared" si="3"/>
        <v>964119.43788999994</v>
      </c>
      <c r="I27" s="13">
        <f t="shared" si="3"/>
        <v>977919.43788999994</v>
      </c>
      <c r="J27" s="13">
        <f t="shared" si="3"/>
        <v>992869.43788999994</v>
      </c>
      <c r="K27" s="13">
        <f t="shared" si="3"/>
        <v>1007819.4378899999</v>
      </c>
      <c r="L27" s="13">
        <f>SUM(L26*(1+$C31))</f>
        <v>1017019.4378899999</v>
      </c>
      <c r="M27" s="6"/>
      <c r="N27" s="7"/>
      <c r="O27" s="6"/>
      <c r="P27" s="6"/>
      <c r="Q27" s="6"/>
    </row>
    <row r="28" spans="2:17" x14ac:dyDescent="0.2">
      <c r="B28" s="6"/>
      <c r="C28" s="14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6"/>
      <c r="P28" s="6"/>
      <c r="Q28" s="6"/>
    </row>
    <row r="29" spans="2:17" x14ac:dyDescent="0.2">
      <c r="B29" s="15"/>
      <c r="C29" s="15">
        <v>764380</v>
      </c>
      <c r="D29" s="16" t="s">
        <v>24</v>
      </c>
      <c r="E29" s="16"/>
      <c r="F29" s="16"/>
      <c r="G29" s="16"/>
      <c r="H29" s="16"/>
      <c r="I29" s="16"/>
      <c r="J29" s="18"/>
      <c r="K29" s="18"/>
      <c r="L29" s="18"/>
      <c r="M29" s="6"/>
      <c r="N29" s="7"/>
      <c r="O29" s="6"/>
      <c r="P29" s="6"/>
      <c r="Q29" s="6"/>
    </row>
    <row r="30" spans="2:17" x14ac:dyDescent="0.2">
      <c r="B30" s="15"/>
      <c r="C30" s="15">
        <v>0</v>
      </c>
      <c r="D30" s="16" t="s">
        <v>29</v>
      </c>
      <c r="E30" s="16"/>
      <c r="F30" s="16"/>
      <c r="G30" s="16"/>
      <c r="H30" s="16"/>
      <c r="I30" s="16"/>
      <c r="J30" s="18"/>
      <c r="K30" s="18"/>
      <c r="L30" s="18"/>
      <c r="M30" s="6"/>
      <c r="N30" s="7"/>
      <c r="O30" s="6"/>
      <c r="P30" s="6"/>
      <c r="Q30" s="6"/>
    </row>
    <row r="31" spans="2:17" x14ac:dyDescent="0.2">
      <c r="B31" s="16"/>
      <c r="C31" s="20">
        <f>0.15</f>
        <v>0.15</v>
      </c>
      <c r="D31" s="16" t="s">
        <v>22</v>
      </c>
      <c r="E31" s="16"/>
      <c r="F31" s="16"/>
      <c r="G31" s="16"/>
      <c r="H31" s="16"/>
      <c r="I31" s="16"/>
      <c r="J31" s="18"/>
      <c r="K31" s="18"/>
      <c r="L31" s="18"/>
      <c r="M31" s="6"/>
      <c r="N31" s="7"/>
      <c r="O31" s="6"/>
      <c r="P31" s="6"/>
      <c r="Q31" s="6"/>
    </row>
    <row r="32" spans="2:17" x14ac:dyDescent="0.2">
      <c r="B32" s="16"/>
      <c r="C32" s="15">
        <f>SUM(C29:C30)</f>
        <v>764380</v>
      </c>
      <c r="D32" s="16" t="s">
        <v>25</v>
      </c>
      <c r="E32" s="16"/>
      <c r="F32" s="16"/>
      <c r="G32" s="16"/>
      <c r="H32" s="16"/>
      <c r="I32" s="16"/>
      <c r="J32" s="18"/>
      <c r="K32" s="18"/>
      <c r="L32" s="18"/>
      <c r="M32" s="6"/>
      <c r="N32" s="7"/>
      <c r="O32" s="6"/>
      <c r="P32" s="6"/>
      <c r="Q32" s="6"/>
    </row>
    <row r="33" spans="2:17" x14ac:dyDescent="0.2">
      <c r="B33" s="17" t="s">
        <v>17</v>
      </c>
      <c r="C33" s="31">
        <v>1.1569700000000001</v>
      </c>
      <c r="D33" s="19" t="s">
        <v>28</v>
      </c>
      <c r="E33" s="16"/>
      <c r="F33" s="16"/>
      <c r="G33" s="16"/>
      <c r="H33" s="16"/>
      <c r="I33" s="16"/>
      <c r="J33" s="18"/>
      <c r="K33" s="18"/>
      <c r="L33" s="18"/>
      <c r="M33" s="6"/>
      <c r="N33" s="7"/>
      <c r="O33" s="6"/>
      <c r="P33" s="6"/>
      <c r="Q33" s="6"/>
    </row>
    <row r="34" spans="2:17" x14ac:dyDescent="0.2">
      <c r="B34" s="16"/>
      <c r="C34" s="15">
        <f>C32*C33</f>
        <v>884364.72860000003</v>
      </c>
      <c r="D34" s="16" t="s">
        <v>31</v>
      </c>
      <c r="E34" s="16"/>
      <c r="F34" s="16"/>
      <c r="G34" s="16"/>
      <c r="H34" s="16"/>
      <c r="I34" s="16"/>
      <c r="J34" s="18"/>
      <c r="K34" s="18"/>
      <c r="L34" s="18"/>
      <c r="M34" s="6"/>
      <c r="N34" s="7"/>
      <c r="O34" s="6"/>
      <c r="P34" s="6"/>
      <c r="Q34" s="6"/>
    </row>
    <row r="36" spans="2:17" x14ac:dyDescent="0.2">
      <c r="C36" s="15" t="s">
        <v>21</v>
      </c>
    </row>
    <row r="37" spans="2:17" x14ac:dyDescent="0.2">
      <c r="C37" s="15" t="s">
        <v>20</v>
      </c>
    </row>
    <row r="38" spans="2:17" x14ac:dyDescent="0.2">
      <c r="C38" t="s">
        <v>26</v>
      </c>
    </row>
    <row r="39" spans="2:17" x14ac:dyDescent="0.2">
      <c r="C39" s="31" t="s">
        <v>27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2845-5964-4A2F-8D92-130875605A0F}">
  <dimension ref="A1"/>
  <sheetViews>
    <sheetView workbookViewId="0">
      <selection activeCell="B63" sqref="B6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ændringer ok24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bedriftslægeløn 1.4.94</dc:title>
  <dc:creator>Hanne</dc:creator>
  <cp:lastModifiedBy>Mads Nørgaard-Madsen</cp:lastModifiedBy>
  <cp:lastPrinted>2013-09-06T09:31:21Z</cp:lastPrinted>
  <dcterms:created xsi:type="dcterms:W3CDTF">1998-09-17T16:23:09Z</dcterms:created>
  <dcterms:modified xsi:type="dcterms:W3CDTF">2025-10-15T09:18:43Z</dcterms:modified>
</cp:coreProperties>
</file>